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eeds365-my.sharepoint.com/personal/chenk_leeds_ac_uk/Documents/FilesToUpdate/electrochemBottle/electroReactcom/httpdocs/"/>
    </mc:Choice>
  </mc:AlternateContent>
  <xr:revisionPtr revIDLastSave="1466" documentId="11_F25DC773A252ABDACC1048A6599B49965ADE58E0" xr6:coauthVersionLast="47" xr6:coauthVersionMax="47" xr10:uidLastSave="{C4366F50-A6EE-4CBC-8268-5F2F7929FEA1}"/>
  <bookViews>
    <workbookView xWindow="-120" yWindow="-120" windowWidth="29040" windowHeight="15720" activeTab="5" xr2:uid="{00000000-000D-0000-FFFF-FFFF00000000}"/>
  </bookViews>
  <sheets>
    <sheet name="Current time moles" sheetId="2" r:id="rId1"/>
    <sheet name="Rxn time est" sheetId="11" r:id="rId2"/>
    <sheet name="Efficiency Calcs" sheetId="10" r:id="rId3"/>
    <sheet name="Reporting" sheetId="8" r:id="rId4"/>
    <sheet name="Scaling" sheetId="7" r:id="rId5"/>
    <sheet name="Cost Electons" sheetId="9" r:id="rId6"/>
    <sheet name="Parallel V Series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  <c r="B29" i="7" s="1"/>
  <c r="B14" i="7"/>
  <c r="B15" i="7" s="1"/>
  <c r="B16" i="7" s="1"/>
  <c r="B34" i="7"/>
  <c r="G28" i="8"/>
  <c r="G29" i="8" s="1"/>
  <c r="B11" i="8"/>
  <c r="B12" i="8" s="1"/>
  <c r="B13" i="8" s="1"/>
  <c r="C10" i="9"/>
  <c r="C9" i="9"/>
  <c r="C8" i="9"/>
  <c r="C6" i="9"/>
  <c r="D11" i="12"/>
  <c r="B11" i="12"/>
  <c r="D10" i="12"/>
  <c r="B10" i="12"/>
  <c r="D9" i="12"/>
  <c r="D8" i="12"/>
  <c r="B8" i="12"/>
  <c r="B9" i="12" s="1"/>
  <c r="B9" i="11"/>
  <c r="B10" i="11" s="1"/>
  <c r="B11" i="11" s="1"/>
  <c r="B12" i="11" s="1"/>
  <c r="B25" i="10"/>
  <c r="B26" i="10" s="1"/>
  <c r="B27" i="10" s="1"/>
  <c r="B28" i="10" s="1"/>
  <c r="B29" i="10" s="1"/>
  <c r="B24" i="10"/>
  <c r="B11" i="10"/>
  <c r="B12" i="10" s="1"/>
  <c r="B10" i="10"/>
  <c r="B8" i="9"/>
  <c r="B7" i="9"/>
  <c r="G30" i="8"/>
  <c r="B17" i="7"/>
  <c r="B6" i="2"/>
  <c r="B7" i="2" s="1"/>
  <c r="G31" i="8" l="1"/>
  <c r="B31" i="8" s="1"/>
  <c r="B18" i="7"/>
  <c r="B30" i="7" s="1"/>
  <c r="B36" i="7" s="1"/>
  <c r="B37" i="7" s="1"/>
  <c r="B9" i="9"/>
  <c r="B10" i="9" s="1"/>
  <c r="B13" i="10"/>
  <c r="B14" i="10" s="1"/>
  <c r="B33" i="7" l="1"/>
  <c r="B30" i="8"/>
  <c r="G32" i="8"/>
  <c r="B28" i="8" s="1"/>
  <c r="B29" i="8"/>
</calcChain>
</file>

<file path=xl/sharedStrings.xml><?xml version="1.0" encoding="utf-8"?>
<sst xmlns="http://schemas.openxmlformats.org/spreadsheetml/2006/main" count="252" uniqueCount="140">
  <si>
    <t>s</t>
  </si>
  <si>
    <t>Vol of solution</t>
  </si>
  <si>
    <t>Electode width (10mm standard)</t>
  </si>
  <si>
    <t>mm</t>
  </si>
  <si>
    <t>ml</t>
  </si>
  <si>
    <t>Depth of fluid</t>
  </si>
  <si>
    <t>Depth of immersion</t>
  </si>
  <si>
    <t>Surface area</t>
  </si>
  <si>
    <t>mm2</t>
  </si>
  <si>
    <t>Current</t>
  </si>
  <si>
    <t>Voltage</t>
  </si>
  <si>
    <t>Resistance</t>
  </si>
  <si>
    <t>Volume</t>
  </si>
  <si>
    <t>Resistivity</t>
  </si>
  <si>
    <t>mA</t>
  </si>
  <si>
    <t>v</t>
  </si>
  <si>
    <t>ohms</t>
  </si>
  <si>
    <t>Electode width</t>
  </si>
  <si>
    <t>ohm m</t>
  </si>
  <si>
    <t>New depth</t>
  </si>
  <si>
    <t>New resistance</t>
  </si>
  <si>
    <t>New surface area</t>
  </si>
  <si>
    <t>Depth electode</t>
  </si>
  <si>
    <t>V</t>
  </si>
  <si>
    <t>mols</t>
  </si>
  <si>
    <t>Charge</t>
  </si>
  <si>
    <t>coulombs</t>
  </si>
  <si>
    <t>time</t>
  </si>
  <si>
    <t>mins</t>
  </si>
  <si>
    <t>Concentration substrate</t>
  </si>
  <si>
    <t>mM</t>
  </si>
  <si>
    <t>Series circuit</t>
  </si>
  <si>
    <t>Relative resistance: reactor 1 to reactor 2</t>
  </si>
  <si>
    <t>Potential difference cell 1</t>
  </si>
  <si>
    <t>Potential difference cell 2</t>
  </si>
  <si>
    <t>Current cell 1</t>
  </si>
  <si>
    <t>Current cell 2</t>
  </si>
  <si>
    <t>Parallel circuit</t>
  </si>
  <si>
    <t>mmol</t>
  </si>
  <si>
    <t>Moles of electrons required per mol substrate</t>
  </si>
  <si>
    <t>Mols of electrons delivered</t>
  </si>
  <si>
    <t>Time of reaction T</t>
  </si>
  <si>
    <t>moles of electrons</t>
  </si>
  <si>
    <t>Volume of reaction mixture</t>
  </si>
  <si>
    <t>Required moles of electons</t>
  </si>
  <si>
    <t>Time</t>
  </si>
  <si>
    <t>Initial conc of reactant</t>
  </si>
  <si>
    <t>Starting mols of reactant</t>
  </si>
  <si>
    <t>%</t>
  </si>
  <si>
    <t>%Efficiency (achieved conversion to maximum conversion)</t>
  </si>
  <si>
    <t>concentration reactant after time T</t>
  </si>
  <si>
    <t>concentration product after time T</t>
  </si>
  <si>
    <t>Moles of electrons required per mol reactant</t>
  </si>
  <si>
    <t>Moles of product per mol of reactant</t>
  </si>
  <si>
    <t>mols of reactant consumed with 100% conversion</t>
  </si>
  <si>
    <t>mols of product formed with 100% conversion</t>
  </si>
  <si>
    <t>Final concentration of product  with 100% conversion</t>
  </si>
  <si>
    <t>Final concentration of reactant  with 100% conversion</t>
  </si>
  <si>
    <t>Volume of solution</t>
  </si>
  <si>
    <t>Internal diameter of reactor</t>
  </si>
  <si>
    <t>Gap between bottom of electrode and bottle</t>
  </si>
  <si>
    <t>Geometric Parameters and volume correction factors</t>
  </si>
  <si>
    <t>Internal diameter of bottle</t>
  </si>
  <si>
    <t>Distance between electrode and bottle bottom</t>
  </si>
  <si>
    <t>Stirrer volume</t>
  </si>
  <si>
    <t>Electrode 1 width (conductive part)</t>
  </si>
  <si>
    <t>Electode 1 width (total)</t>
  </si>
  <si>
    <t>Electode 1 thickness</t>
  </si>
  <si>
    <t>Electrode 2 width (conductive part)</t>
  </si>
  <si>
    <t>Electode 2 width (total)</t>
  </si>
  <si>
    <t>Electode 2 thickness</t>
  </si>
  <si>
    <t>Volume below electrodes</t>
  </si>
  <si>
    <t>mm3</t>
  </si>
  <si>
    <t>Vol solution touching electrodes</t>
  </si>
  <si>
    <t>Crosssectional area bottle - crosssection elect.</t>
  </si>
  <si>
    <t>Electrode depth</t>
  </si>
  <si>
    <t>Total fluid depth</t>
  </si>
  <si>
    <t>Surface area - electrode 1</t>
  </si>
  <si>
    <t>Surface area - electrode 2</t>
  </si>
  <si>
    <t>This modeller can be used to correct for this</t>
  </si>
  <si>
    <t>Depth fluid</t>
  </si>
  <si>
    <t>Gap between electrodes</t>
  </si>
  <si>
    <t>6mm is standard on ElectroReact</t>
  </si>
  <si>
    <t>5mm for ElectroReact</t>
  </si>
  <si>
    <t>New Internal diameter of reactor</t>
  </si>
  <si>
    <t>New gap between bottom of electrode and bottle</t>
  </si>
  <si>
    <t>New electode width</t>
  </si>
  <si>
    <t>New gap between electrodes</t>
  </si>
  <si>
    <t>The online version of this modeller assumes a zero thickness electrode</t>
  </si>
  <si>
    <t>It also allows the two electodes to be different</t>
  </si>
  <si>
    <t>To retain original current: this is the new voltage</t>
  </si>
  <si>
    <t>To retain original voltage: this is the new current</t>
  </si>
  <si>
    <t>J</t>
  </si>
  <si>
    <t>Cost per joule</t>
  </si>
  <si>
    <t xml:space="preserve">Cost per mol electrons </t>
  </si>
  <si>
    <t>Cost per kw hr</t>
  </si>
  <si>
    <t>Work</t>
  </si>
  <si>
    <t>Mols electrons</t>
  </si>
  <si>
    <t>Cost per specificed electrons</t>
  </si>
  <si>
    <t>To retain original current: Run reaction this many times longer</t>
  </si>
  <si>
    <t>To retain original voltage: Run reaction this many times longer</t>
  </si>
  <si>
    <t>For a given current and time, this calculates the quantity of electrons that flow through the circuit</t>
  </si>
  <si>
    <t>http://www.electroreact.com/learning_VIT.html</t>
  </si>
  <si>
    <t>For given reaction parameters, an estimate of time to deliver one equivalance of electrons through the circuit</t>
  </si>
  <si>
    <t xml:space="preserve">http://www.electroreact.com/learning_VIT.html </t>
  </si>
  <si>
    <t>Efficiency Calculators</t>
  </si>
  <si>
    <t>%conversion efficiency</t>
  </si>
  <si>
    <t>%efficiency based on yield of product</t>
  </si>
  <si>
    <t>http://www.electroreact.com/learning_Efficiency.html</t>
  </si>
  <si>
    <t>Reporting of conditions</t>
  </si>
  <si>
    <t>Scaling of Reactions within the ElectroReact Platform</t>
  </si>
  <si>
    <t>Cost of electrons</t>
  </si>
  <si>
    <t>Unit of currency  (XX per kWh)</t>
  </si>
  <si>
    <t>£</t>
  </si>
  <si>
    <t>Active surface area per electrode</t>
  </si>
  <si>
    <t>Simple calculator - as for online webpages but incorporating stirrer volume - neglects electode thickness</t>
  </si>
  <si>
    <t>Reaction time estimation</t>
  </si>
  <si>
    <t>Current - time - electron flow relationship</t>
  </si>
  <si>
    <t>times longer</t>
  </si>
  <si>
    <t>Resistivity captures the relationship between resistance of the solution, the surface area of electrode and the gap</t>
  </si>
  <si>
    <t>Resistance estimate based on current and voltage of current experiment</t>
  </si>
  <si>
    <t>This gives an estimate of the new resistance, based on the resistivity of the solution from above</t>
  </si>
  <si>
    <t>Using V=IR, fixing I to the original value and R to the new value then calculate V</t>
  </si>
  <si>
    <t>Using V=IR, fixing V to the original value and R to the new value then calculate I</t>
  </si>
  <si>
    <t>The current is constant (ie the rate of electron flow is the same) - therefore thescaling time factor will be a ratio of volume (new vol to old)</t>
  </si>
  <si>
    <t>ORIGINAL EXPERIMENT</t>
  </si>
  <si>
    <t>NEW EXPERIMENT</t>
  </si>
  <si>
    <t>New volume solution</t>
  </si>
  <si>
    <t>SCALING PARAMETERS</t>
  </si>
  <si>
    <t>Both the rate of electron flow and volume has changed. Scaling time factor ( (vol_new/current_new) / (vol_old/current_old) )</t>
  </si>
  <si>
    <t>Stirrer vol</t>
  </si>
  <si>
    <t>0.2ml is the small cross-stirrer</t>
  </si>
  <si>
    <t>This is the width of the metal (this modeller neglects the volume of the electrode)</t>
  </si>
  <si>
    <t>Current and voltage from your original experiment</t>
  </si>
  <si>
    <t xml:space="preserve">https://www.electroreact.com/learning_Efficiency.html </t>
  </si>
  <si>
    <t xml:space="preserve">https://www.electroreact.com/learning_ScalingReactions.html </t>
  </si>
  <si>
    <t>https://www.electroreact.com/learning_CostElectrons.html</t>
  </si>
  <si>
    <t>Parallel versus series illustrator</t>
  </si>
  <si>
    <t>https://www.electroreact.com/learning_Wiring.html</t>
  </si>
  <si>
    <t>24mm for standard bottle, 16.4mm for reduced vol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</si>
</sst>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</borders>
  <cellStyleXfs count="4">
    <xf numFmtId="0" fontId="0" fillId="0" borderId="0"/>
    <xf numFmtId="0" fontId="2" fillId="2" borderId="9" applyNumberFormat="0" applyAlignment="0" applyProtection="0"/>
    <xf numFmtId="0" fontId="3" fillId="3" borderId="10" applyNumberFormat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2" xfId="0" applyFont="1" applyBorder="1"/>
    <xf numFmtId="2" fontId="0" fillId="0" borderId="0" xfId="0" applyNumberFormat="1"/>
    <xf numFmtId="0" fontId="4" fillId="0" borderId="0" xfId="3"/>
    <xf numFmtId="0" fontId="2" fillId="2" borderId="9" xfId="1"/>
    <xf numFmtId="0" fontId="3" fillId="3" borderId="10" xfId="2"/>
    <xf numFmtId="2" fontId="3" fillId="3" borderId="10" xfId="2" applyNumberFormat="1"/>
    <xf numFmtId="48" fontId="3" fillId="3" borderId="10" xfId="2" applyNumberFormat="1"/>
    <xf numFmtId="164" fontId="3" fillId="3" borderId="10" xfId="2" applyNumberFormat="1"/>
    <xf numFmtId="0" fontId="1" fillId="0" borderId="0" xfId="0" applyFont="1"/>
    <xf numFmtId="0" fontId="5" fillId="0" borderId="0" xfId="3" applyFont="1"/>
    <xf numFmtId="0" fontId="2" fillId="2" borderId="9" xfId="1" applyAlignment="1">
      <alignment horizontal="right"/>
    </xf>
    <xf numFmtId="0" fontId="3" fillId="3" borderId="11" xfId="2" applyBorder="1"/>
    <xf numFmtId="0" fontId="3" fillId="3" borderId="12" xfId="2" applyBorder="1"/>
  </cellXfs>
  <cellStyles count="4">
    <cellStyle name="Hyperlink" xfId="3" builtinId="8"/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lectroreact.com/learning_VIT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lectroreact.com/learning_VIT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lectroreact.com/learning_Efficiency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lectroreact.com/learning_Efficiency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lectroreact.com/learning_ScalingReactions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lectroreact.com/learning_CostElectrons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lectroreact.com/learning_Wiri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3F92-DDDA-4D07-AD84-9A89B22212AA}">
  <sheetPr codeName="Sheet2"/>
  <dimension ref="A1:C7"/>
  <sheetViews>
    <sheetView zoomScale="70" zoomScaleNormal="70" workbookViewId="0"/>
  </sheetViews>
  <sheetFormatPr defaultRowHeight="15" x14ac:dyDescent="0.25"/>
  <cols>
    <col min="1" max="1" width="58.140625" customWidth="1"/>
    <col min="2" max="2" width="14.85546875" bestFit="1" customWidth="1"/>
    <col min="3" max="3" width="10.85546875" customWidth="1"/>
    <col min="5" max="5" width="10.5703125" customWidth="1"/>
    <col min="6" max="6" width="48.5703125" customWidth="1"/>
    <col min="11" max="11" width="12.28515625" bestFit="1" customWidth="1"/>
  </cols>
  <sheetData>
    <row r="1" spans="1:3" x14ac:dyDescent="0.25">
      <c r="A1" s="18" t="s">
        <v>117</v>
      </c>
    </row>
    <row r="2" spans="1:3" x14ac:dyDescent="0.25">
      <c r="A2" t="s">
        <v>101</v>
      </c>
    </row>
    <row r="3" spans="1:3" x14ac:dyDescent="0.25">
      <c r="A3" s="12" t="s">
        <v>102</v>
      </c>
    </row>
    <row r="4" spans="1:3" x14ac:dyDescent="0.25">
      <c r="A4" s="1" t="s">
        <v>9</v>
      </c>
      <c r="B4" s="13">
        <v>20</v>
      </c>
      <c r="C4" s="3" t="s">
        <v>14</v>
      </c>
    </row>
    <row r="5" spans="1:3" x14ac:dyDescent="0.25">
      <c r="A5" s="4" t="s">
        <v>27</v>
      </c>
      <c r="B5" s="13">
        <v>600</v>
      </c>
      <c r="C5" s="5" t="s">
        <v>0</v>
      </c>
    </row>
    <row r="6" spans="1:3" x14ac:dyDescent="0.25">
      <c r="A6" s="4" t="s">
        <v>42</v>
      </c>
      <c r="B6" s="16">
        <f>B4*0.001*B5/96500</f>
        <v>1.2435233160621763E-4</v>
      </c>
      <c r="C6" s="5" t="s">
        <v>24</v>
      </c>
    </row>
    <row r="7" spans="1:3" x14ac:dyDescent="0.25">
      <c r="A7" s="6"/>
      <c r="B7" s="17">
        <f>B6*1000</f>
        <v>0.12435233160621763</v>
      </c>
      <c r="C7" s="8" t="s">
        <v>38</v>
      </c>
    </row>
  </sheetData>
  <hyperlinks>
    <hyperlink ref="A3" r:id="rId1" xr:uid="{D31A6592-FE25-4365-904D-021CCA299F5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70E2-8514-4463-BC6F-D99FF2029CF5}">
  <sheetPr codeName="Sheet6"/>
  <dimension ref="A1:C13"/>
  <sheetViews>
    <sheetView zoomScale="70" zoomScaleNormal="70" workbookViewId="0">
      <selection activeCell="B13" sqref="B13"/>
    </sheetView>
  </sheetViews>
  <sheetFormatPr defaultRowHeight="15" x14ac:dyDescent="0.25"/>
  <cols>
    <col min="1" max="1" width="58.140625" customWidth="1"/>
    <col min="2" max="2" width="14.85546875" bestFit="1" customWidth="1"/>
    <col min="3" max="3" width="10.85546875" customWidth="1"/>
    <col min="5" max="5" width="10.5703125" customWidth="1"/>
    <col min="6" max="6" width="48.5703125" customWidth="1"/>
    <col min="11" max="11" width="12.28515625" bestFit="1" customWidth="1"/>
  </cols>
  <sheetData>
    <row r="1" spans="1:3" x14ac:dyDescent="0.25">
      <c r="A1" s="18" t="s">
        <v>116</v>
      </c>
    </row>
    <row r="2" spans="1:3" x14ac:dyDescent="0.25">
      <c r="A2" t="s">
        <v>103</v>
      </c>
    </row>
    <row r="3" spans="1:3" x14ac:dyDescent="0.25">
      <c r="A3" s="12" t="s">
        <v>104</v>
      </c>
    </row>
    <row r="5" spans="1:3" x14ac:dyDescent="0.25">
      <c r="A5" s="1" t="s">
        <v>29</v>
      </c>
      <c r="B5" s="13">
        <v>20</v>
      </c>
      <c r="C5" s="3" t="s">
        <v>30</v>
      </c>
    </row>
    <row r="6" spans="1:3" x14ac:dyDescent="0.25">
      <c r="A6" s="4" t="s">
        <v>43</v>
      </c>
      <c r="B6" s="13">
        <v>5</v>
      </c>
      <c r="C6" s="5" t="s">
        <v>4</v>
      </c>
    </row>
    <row r="7" spans="1:3" x14ac:dyDescent="0.25">
      <c r="A7" s="4" t="s">
        <v>39</v>
      </c>
      <c r="B7" s="13">
        <v>1</v>
      </c>
      <c r="C7" s="5"/>
    </row>
    <row r="8" spans="1:3" x14ac:dyDescent="0.25">
      <c r="A8" s="4" t="s">
        <v>9</v>
      </c>
      <c r="B8" s="13">
        <v>20</v>
      </c>
      <c r="C8" s="5" t="s">
        <v>14</v>
      </c>
    </row>
    <row r="9" spans="1:3" x14ac:dyDescent="0.25">
      <c r="A9" s="4" t="s">
        <v>44</v>
      </c>
      <c r="B9">
        <f>(B5*0.001*B6*0.001)*B7</f>
        <v>1E-4</v>
      </c>
      <c r="C9" s="5" t="s">
        <v>24</v>
      </c>
    </row>
    <row r="10" spans="1:3" x14ac:dyDescent="0.25">
      <c r="A10" s="4" t="s">
        <v>25</v>
      </c>
      <c r="B10">
        <f>96500*B9</f>
        <v>9.65</v>
      </c>
      <c r="C10" s="5" t="s">
        <v>26</v>
      </c>
    </row>
    <row r="11" spans="1:3" x14ac:dyDescent="0.25">
      <c r="A11" s="4" t="s">
        <v>45</v>
      </c>
      <c r="B11" s="14">
        <f>B10/(B8*0.001)</f>
        <v>482.5</v>
      </c>
      <c r="C11" s="5" t="s">
        <v>0</v>
      </c>
    </row>
    <row r="12" spans="1:3" x14ac:dyDescent="0.25">
      <c r="A12" s="6"/>
      <c r="B12" s="15">
        <f>B11/60</f>
        <v>8.0416666666666661</v>
      </c>
      <c r="C12" s="8" t="s">
        <v>28</v>
      </c>
    </row>
    <row r="13" spans="1:3" x14ac:dyDescent="0.25">
      <c r="B13" s="11"/>
    </row>
  </sheetData>
  <hyperlinks>
    <hyperlink ref="A3" r:id="rId1" xr:uid="{C507CF5C-8899-4821-8840-9524B3491927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5A19-E369-4E35-94D5-90AFF38DE4F9}">
  <sheetPr codeName="Sheet1"/>
  <dimension ref="A1:C29"/>
  <sheetViews>
    <sheetView zoomScale="70" zoomScaleNormal="70" workbookViewId="0">
      <selection activeCell="F32" sqref="F32"/>
    </sheetView>
  </sheetViews>
  <sheetFormatPr defaultRowHeight="15" x14ac:dyDescent="0.25"/>
  <cols>
    <col min="1" max="1" width="58.140625" customWidth="1"/>
    <col min="2" max="2" width="14.85546875" bestFit="1" customWidth="1"/>
    <col min="3" max="3" width="10.85546875" customWidth="1"/>
    <col min="5" max="5" width="10.5703125" customWidth="1"/>
    <col min="6" max="6" width="48.5703125" customWidth="1"/>
    <col min="11" max="11" width="12.28515625" bestFit="1" customWidth="1"/>
  </cols>
  <sheetData>
    <row r="1" spans="1:3" x14ac:dyDescent="0.25">
      <c r="A1" s="18" t="s">
        <v>105</v>
      </c>
    </row>
    <row r="2" spans="1:3" x14ac:dyDescent="0.25">
      <c r="A2" s="19" t="s">
        <v>108</v>
      </c>
    </row>
    <row r="3" spans="1:3" x14ac:dyDescent="0.25">
      <c r="A3" s="18" t="s">
        <v>106</v>
      </c>
    </row>
    <row r="4" spans="1:3" x14ac:dyDescent="0.25">
      <c r="A4" s="1" t="s">
        <v>46</v>
      </c>
      <c r="B4" s="13">
        <v>20</v>
      </c>
      <c r="C4" s="3" t="s">
        <v>30</v>
      </c>
    </row>
    <row r="5" spans="1:3" x14ac:dyDescent="0.25">
      <c r="A5" s="4" t="s">
        <v>50</v>
      </c>
      <c r="B5" s="13">
        <v>5</v>
      </c>
      <c r="C5" s="5" t="s">
        <v>30</v>
      </c>
    </row>
    <row r="6" spans="1:3" x14ac:dyDescent="0.25">
      <c r="A6" s="4" t="s">
        <v>41</v>
      </c>
      <c r="B6" s="13">
        <v>8</v>
      </c>
      <c r="C6" s="5" t="s">
        <v>28</v>
      </c>
    </row>
    <row r="7" spans="1:3" x14ac:dyDescent="0.25">
      <c r="A7" s="4" t="s">
        <v>12</v>
      </c>
      <c r="B7" s="13">
        <v>5</v>
      </c>
      <c r="C7" s="5" t="s">
        <v>4</v>
      </c>
    </row>
    <row r="8" spans="1:3" x14ac:dyDescent="0.25">
      <c r="A8" s="4" t="s">
        <v>9</v>
      </c>
      <c r="B8" s="13">
        <v>20</v>
      </c>
      <c r="C8" s="5" t="s">
        <v>14</v>
      </c>
    </row>
    <row r="9" spans="1:3" x14ac:dyDescent="0.25">
      <c r="A9" s="4" t="s">
        <v>52</v>
      </c>
      <c r="B9" s="13">
        <v>1</v>
      </c>
      <c r="C9" s="5"/>
    </row>
    <row r="10" spans="1:3" x14ac:dyDescent="0.25">
      <c r="A10" s="4" t="s">
        <v>47</v>
      </c>
      <c r="B10">
        <f>(B4/1000*B7/1000)</f>
        <v>1E-4</v>
      </c>
      <c r="C10" s="5" t="s">
        <v>24</v>
      </c>
    </row>
    <row r="11" spans="1:3" x14ac:dyDescent="0.25">
      <c r="A11" s="4" t="s">
        <v>40</v>
      </c>
      <c r="B11">
        <f>B8*0.001*B6*60/96500</f>
        <v>9.9481865284974089E-5</v>
      </c>
      <c r="C11" s="5" t="s">
        <v>24</v>
      </c>
    </row>
    <row r="12" spans="1:3" x14ac:dyDescent="0.25">
      <c r="A12" s="4" t="s">
        <v>54</v>
      </c>
      <c r="B12">
        <f>B11/B9</f>
        <v>9.9481865284974089E-5</v>
      </c>
      <c r="C12" s="5" t="s">
        <v>24</v>
      </c>
    </row>
    <row r="13" spans="1:3" x14ac:dyDescent="0.25">
      <c r="A13" s="4" t="s">
        <v>57</v>
      </c>
      <c r="B13" s="14">
        <f>(B10-B12)*1000/(B7/1000)</f>
        <v>0.10362694300518316</v>
      </c>
      <c r="C13" s="5" t="s">
        <v>30</v>
      </c>
    </row>
    <row r="14" spans="1:3" x14ac:dyDescent="0.25">
      <c r="A14" s="6" t="s">
        <v>49</v>
      </c>
      <c r="B14" s="14">
        <f>(B4-B5)/(B4-B13)*100</f>
        <v>75.390625</v>
      </c>
      <c r="C14" s="8" t="s">
        <v>48</v>
      </c>
    </row>
    <row r="16" spans="1:3" x14ac:dyDescent="0.25">
      <c r="A16" s="18" t="s">
        <v>107</v>
      </c>
    </row>
    <row r="17" spans="1:3" x14ac:dyDescent="0.25">
      <c r="A17" s="1" t="s">
        <v>46</v>
      </c>
      <c r="B17" s="13">
        <v>20</v>
      </c>
      <c r="C17" s="3" t="s">
        <v>30</v>
      </c>
    </row>
    <row r="18" spans="1:3" x14ac:dyDescent="0.25">
      <c r="A18" s="4" t="s">
        <v>51</v>
      </c>
      <c r="B18" s="13">
        <v>15</v>
      </c>
      <c r="C18" s="5" t="s">
        <v>30</v>
      </c>
    </row>
    <row r="19" spans="1:3" x14ac:dyDescent="0.25">
      <c r="A19" s="4" t="s">
        <v>41</v>
      </c>
      <c r="B19" s="13">
        <v>8</v>
      </c>
      <c r="C19" s="5" t="s">
        <v>28</v>
      </c>
    </row>
    <row r="20" spans="1:3" x14ac:dyDescent="0.25">
      <c r="A20" s="4" t="s">
        <v>12</v>
      </c>
      <c r="B20" s="13">
        <v>5</v>
      </c>
      <c r="C20" s="5" t="s">
        <v>4</v>
      </c>
    </row>
    <row r="21" spans="1:3" x14ac:dyDescent="0.25">
      <c r="A21" s="4" t="s">
        <v>9</v>
      </c>
      <c r="B21" s="13">
        <v>20</v>
      </c>
      <c r="C21" s="5" t="s">
        <v>14</v>
      </c>
    </row>
    <row r="22" spans="1:3" x14ac:dyDescent="0.25">
      <c r="A22" s="4" t="s">
        <v>52</v>
      </c>
      <c r="B22" s="13">
        <v>1</v>
      </c>
      <c r="C22" s="5"/>
    </row>
    <row r="23" spans="1:3" x14ac:dyDescent="0.25">
      <c r="A23" s="4" t="s">
        <v>53</v>
      </c>
      <c r="B23" s="13">
        <v>1</v>
      </c>
      <c r="C23" s="5"/>
    </row>
    <row r="24" spans="1:3" x14ac:dyDescent="0.25">
      <c r="A24" s="4" t="s">
        <v>47</v>
      </c>
      <c r="B24">
        <f>(B17/1000*B20/1000)</f>
        <v>1E-4</v>
      </c>
      <c r="C24" s="5" t="s">
        <v>24</v>
      </c>
    </row>
    <row r="25" spans="1:3" x14ac:dyDescent="0.25">
      <c r="A25" s="4" t="s">
        <v>40</v>
      </c>
      <c r="B25">
        <f>B21*0.001*B19*60/96500</f>
        <v>9.9481865284974089E-5</v>
      </c>
      <c r="C25" s="5" t="s">
        <v>24</v>
      </c>
    </row>
    <row r="26" spans="1:3" x14ac:dyDescent="0.25">
      <c r="A26" s="4" t="s">
        <v>54</v>
      </c>
      <c r="B26">
        <f>B25/B22</f>
        <v>9.9481865284974089E-5</v>
      </c>
      <c r="C26" s="5" t="s">
        <v>24</v>
      </c>
    </row>
    <row r="27" spans="1:3" x14ac:dyDescent="0.25">
      <c r="A27" s="4" t="s">
        <v>55</v>
      </c>
      <c r="B27">
        <f>B26*B23</f>
        <v>9.9481865284974089E-5</v>
      </c>
      <c r="C27" s="5" t="s">
        <v>24</v>
      </c>
    </row>
    <row r="28" spans="1:3" x14ac:dyDescent="0.25">
      <c r="A28" s="4" t="s">
        <v>56</v>
      </c>
      <c r="B28" s="14">
        <f>(B27*1000)/(B20/1000)</f>
        <v>19.896373056994818</v>
      </c>
      <c r="C28" s="5" t="s">
        <v>30</v>
      </c>
    </row>
    <row r="29" spans="1:3" x14ac:dyDescent="0.25">
      <c r="A29" s="6" t="s">
        <v>49</v>
      </c>
      <c r="B29" s="14">
        <f>B18/B28*100</f>
        <v>75.390625</v>
      </c>
      <c r="C29" s="8" t="s">
        <v>48</v>
      </c>
    </row>
  </sheetData>
  <hyperlinks>
    <hyperlink ref="A2" r:id="rId1" xr:uid="{F55C90A6-A672-424F-8063-FB916CAE8D8D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A0D3-B1F1-47B1-8594-72804ACBDD27}">
  <sheetPr codeName="Sheet3"/>
  <dimension ref="A1:H32"/>
  <sheetViews>
    <sheetView zoomScale="70" zoomScaleNormal="70" workbookViewId="0">
      <selection activeCell="G18" sqref="G18"/>
    </sheetView>
  </sheetViews>
  <sheetFormatPr defaultRowHeight="15" x14ac:dyDescent="0.25"/>
  <cols>
    <col min="1" max="1" width="58.140625" customWidth="1"/>
    <col min="2" max="2" width="14.85546875" bestFit="1" customWidth="1"/>
    <col min="3" max="3" width="10.85546875" customWidth="1"/>
    <col min="5" max="5" width="10.5703125" customWidth="1"/>
    <col min="6" max="6" width="48.5703125" customWidth="1"/>
    <col min="7" max="7" width="9.140625" customWidth="1"/>
    <col min="11" max="11" width="12.28515625" bestFit="1" customWidth="1"/>
  </cols>
  <sheetData>
    <row r="1" spans="1:8" x14ac:dyDescent="0.25">
      <c r="A1" s="18" t="s">
        <v>109</v>
      </c>
    </row>
    <row r="2" spans="1:8" x14ac:dyDescent="0.25">
      <c r="A2" s="12" t="s">
        <v>134</v>
      </c>
    </row>
    <row r="5" spans="1:8" x14ac:dyDescent="0.25">
      <c r="A5" t="s">
        <v>115</v>
      </c>
    </row>
    <row r="6" spans="1:8" x14ac:dyDescent="0.25">
      <c r="A6" s="1" t="s">
        <v>1</v>
      </c>
      <c r="B6" s="13">
        <v>10</v>
      </c>
      <c r="C6" s="2" t="s">
        <v>4</v>
      </c>
      <c r="D6" s="2"/>
      <c r="E6" s="2"/>
      <c r="F6" s="2"/>
      <c r="G6" s="2"/>
      <c r="H6" s="3"/>
    </row>
    <row r="7" spans="1:8" x14ac:dyDescent="0.25">
      <c r="A7" s="4" t="s">
        <v>2</v>
      </c>
      <c r="B7" s="13">
        <v>10</v>
      </c>
      <c r="C7" t="s">
        <v>3</v>
      </c>
      <c r="H7" s="5"/>
    </row>
    <row r="8" spans="1:8" x14ac:dyDescent="0.25">
      <c r="A8" s="4" t="s">
        <v>62</v>
      </c>
      <c r="B8" s="13">
        <v>24</v>
      </c>
      <c r="C8" t="s">
        <v>3</v>
      </c>
      <c r="E8" t="s">
        <v>139</v>
      </c>
      <c r="H8" s="5"/>
    </row>
    <row r="9" spans="1:8" x14ac:dyDescent="0.25">
      <c r="A9" s="4" t="s">
        <v>64</v>
      </c>
      <c r="B9" s="13">
        <v>0.1</v>
      </c>
      <c r="C9" t="s">
        <v>4</v>
      </c>
      <c r="H9" s="5"/>
    </row>
    <row r="10" spans="1:8" x14ac:dyDescent="0.25">
      <c r="A10" s="4" t="s">
        <v>63</v>
      </c>
      <c r="B10" s="13">
        <v>5</v>
      </c>
      <c r="C10" t="s">
        <v>3</v>
      </c>
      <c r="E10" t="s">
        <v>83</v>
      </c>
      <c r="H10" s="5"/>
    </row>
    <row r="11" spans="1:8" x14ac:dyDescent="0.25">
      <c r="A11" s="4" t="s">
        <v>5</v>
      </c>
      <c r="B11" s="14">
        <f>((B9+B6)*1000/(PI()*(B8)^2/4))</f>
        <v>22.325901739279765</v>
      </c>
      <c r="C11" t="s">
        <v>3</v>
      </c>
      <c r="H11" s="5"/>
    </row>
    <row r="12" spans="1:8" x14ac:dyDescent="0.25">
      <c r="A12" s="4" t="s">
        <v>6</v>
      </c>
      <c r="B12" s="14">
        <f>B11-B10</f>
        <v>17.325901739279765</v>
      </c>
      <c r="C12" t="s">
        <v>3</v>
      </c>
      <c r="H12" s="5"/>
    </row>
    <row r="13" spans="1:8" x14ac:dyDescent="0.25">
      <c r="A13" s="6" t="s">
        <v>114</v>
      </c>
      <c r="B13" s="14">
        <f>B12*B7</f>
        <v>173.25901739279766</v>
      </c>
      <c r="C13" s="7" t="s">
        <v>8</v>
      </c>
      <c r="D13" s="7"/>
      <c r="E13" s="7"/>
      <c r="F13" s="7"/>
      <c r="G13" s="7"/>
      <c r="H13" s="8"/>
    </row>
    <row r="14" spans="1:8" x14ac:dyDescent="0.25">
      <c r="A14" s="4"/>
    </row>
    <row r="16" spans="1:8" x14ac:dyDescent="0.25">
      <c r="A16" s="1"/>
      <c r="B16" s="2"/>
      <c r="C16" s="2"/>
      <c r="D16" s="2"/>
      <c r="E16" s="2"/>
      <c r="F16" s="10" t="s">
        <v>61</v>
      </c>
      <c r="G16" s="2"/>
      <c r="H16" s="3"/>
    </row>
    <row r="17" spans="1:8" x14ac:dyDescent="0.25">
      <c r="A17" s="4"/>
      <c r="F17" t="s">
        <v>62</v>
      </c>
      <c r="G17" s="13">
        <v>24</v>
      </c>
      <c r="H17" s="5" t="s">
        <v>3</v>
      </c>
    </row>
    <row r="18" spans="1:8" x14ac:dyDescent="0.25">
      <c r="A18" s="4" t="s">
        <v>88</v>
      </c>
      <c r="F18" t="s">
        <v>64</v>
      </c>
      <c r="G18" s="13">
        <v>0.1</v>
      </c>
      <c r="H18" s="5" t="s">
        <v>4</v>
      </c>
    </row>
    <row r="19" spans="1:8" x14ac:dyDescent="0.25">
      <c r="A19" s="4" t="s">
        <v>79</v>
      </c>
      <c r="F19" t="s">
        <v>63</v>
      </c>
      <c r="G19" s="13">
        <v>5</v>
      </c>
      <c r="H19" s="5" t="s">
        <v>3</v>
      </c>
    </row>
    <row r="20" spans="1:8" x14ac:dyDescent="0.25">
      <c r="A20" s="4" t="s">
        <v>89</v>
      </c>
      <c r="H20" s="5"/>
    </row>
    <row r="21" spans="1:8" x14ac:dyDescent="0.25">
      <c r="A21" s="4"/>
      <c r="F21" t="s">
        <v>65</v>
      </c>
      <c r="G21" s="13">
        <v>10</v>
      </c>
      <c r="H21" s="5" t="s">
        <v>3</v>
      </c>
    </row>
    <row r="22" spans="1:8" x14ac:dyDescent="0.25">
      <c r="A22" s="4"/>
      <c r="F22" t="s">
        <v>66</v>
      </c>
      <c r="G22" s="13">
        <v>10</v>
      </c>
      <c r="H22" s="5" t="s">
        <v>3</v>
      </c>
    </row>
    <row r="23" spans="1:8" x14ac:dyDescent="0.25">
      <c r="A23" s="4"/>
      <c r="F23" t="s">
        <v>67</v>
      </c>
      <c r="G23" s="13">
        <v>1</v>
      </c>
      <c r="H23" s="5" t="s">
        <v>3</v>
      </c>
    </row>
    <row r="24" spans="1:8" x14ac:dyDescent="0.25">
      <c r="A24" s="4" t="s">
        <v>1</v>
      </c>
      <c r="B24" s="13">
        <v>10</v>
      </c>
      <c r="C24" t="s">
        <v>4</v>
      </c>
      <c r="F24" t="s">
        <v>68</v>
      </c>
      <c r="G24" s="13">
        <v>10</v>
      </c>
      <c r="H24" s="5" t="s">
        <v>3</v>
      </c>
    </row>
    <row r="25" spans="1:8" x14ac:dyDescent="0.25">
      <c r="A25" s="4" t="s">
        <v>2</v>
      </c>
      <c r="B25" s="13">
        <v>10</v>
      </c>
      <c r="C25" t="s">
        <v>3</v>
      </c>
      <c r="F25" t="s">
        <v>69</v>
      </c>
      <c r="G25" s="13">
        <v>10</v>
      </c>
      <c r="H25" s="5" t="s">
        <v>3</v>
      </c>
    </row>
    <row r="26" spans="1:8" x14ac:dyDescent="0.25">
      <c r="A26" s="4"/>
      <c r="F26" t="s">
        <v>70</v>
      </c>
      <c r="G26" s="13">
        <v>1</v>
      </c>
      <c r="H26" s="5" t="s">
        <v>3</v>
      </c>
    </row>
    <row r="27" spans="1:8" x14ac:dyDescent="0.25">
      <c r="A27" s="4"/>
      <c r="H27" s="5"/>
    </row>
    <row r="28" spans="1:8" x14ac:dyDescent="0.25">
      <c r="A28" s="4" t="s">
        <v>5</v>
      </c>
      <c r="B28" s="14">
        <f>G32</f>
        <v>23.127304551590264</v>
      </c>
      <c r="C28" t="s">
        <v>3</v>
      </c>
      <c r="F28" t="s">
        <v>71</v>
      </c>
      <c r="G28">
        <f>(G19*PI()*G17^2/4)-(G18*1000)</f>
        <v>2161.9467105846511</v>
      </c>
      <c r="H28" s="5" t="s">
        <v>72</v>
      </c>
    </row>
    <row r="29" spans="1:8" x14ac:dyDescent="0.25">
      <c r="A29" s="4" t="s">
        <v>6</v>
      </c>
      <c r="B29" s="14">
        <f>G31</f>
        <v>18.127304551590264</v>
      </c>
      <c r="C29" t="s">
        <v>3</v>
      </c>
      <c r="F29" t="s">
        <v>73</v>
      </c>
      <c r="G29">
        <f>B24*1000-G28</f>
        <v>7838.0532894153494</v>
      </c>
      <c r="H29" s="5" t="s">
        <v>72</v>
      </c>
    </row>
    <row r="30" spans="1:8" x14ac:dyDescent="0.25">
      <c r="A30" s="4" t="s">
        <v>77</v>
      </c>
      <c r="B30" s="14">
        <f>G31*G21</f>
        <v>181.27304551590265</v>
      </c>
      <c r="C30" t="s">
        <v>8</v>
      </c>
      <c r="F30" t="s">
        <v>74</v>
      </c>
      <c r="G30">
        <f>(PI()*G17^2/4)-(G22*G23+G25*G26)</f>
        <v>432.38934211693021</v>
      </c>
      <c r="H30" s="5" t="s">
        <v>8</v>
      </c>
    </row>
    <row r="31" spans="1:8" x14ac:dyDescent="0.25">
      <c r="A31" s="4" t="s">
        <v>78</v>
      </c>
      <c r="B31" s="14">
        <f>G31*G24</f>
        <v>181.27304551590265</v>
      </c>
      <c r="C31" t="s">
        <v>8</v>
      </c>
      <c r="F31" t="s">
        <v>75</v>
      </c>
      <c r="G31">
        <f>G29/G30</f>
        <v>18.127304551590264</v>
      </c>
      <c r="H31" s="5" t="s">
        <v>3</v>
      </c>
    </row>
    <row r="32" spans="1:8" x14ac:dyDescent="0.25">
      <c r="A32" s="6"/>
      <c r="B32" s="7"/>
      <c r="C32" s="7"/>
      <c r="D32" s="7"/>
      <c r="E32" s="7"/>
      <c r="F32" s="7" t="s">
        <v>76</v>
      </c>
      <c r="G32" s="7">
        <f>G31+G19</f>
        <v>23.127304551590264</v>
      </c>
      <c r="H32" s="8" t="s">
        <v>3</v>
      </c>
    </row>
  </sheetData>
  <hyperlinks>
    <hyperlink ref="A2" r:id="rId1" xr:uid="{B2C67F6A-134B-4C05-967B-DCECFF6FCB3A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3690-BEC9-4526-A824-B9944D0C2635}">
  <sheetPr codeName="Sheet4"/>
  <dimension ref="A1:M38"/>
  <sheetViews>
    <sheetView zoomScale="70" zoomScaleNormal="70" workbookViewId="0">
      <selection activeCell="C22" sqref="C22"/>
    </sheetView>
  </sheetViews>
  <sheetFormatPr defaultRowHeight="15" x14ac:dyDescent="0.25"/>
  <cols>
    <col min="1" max="1" width="58.140625" customWidth="1"/>
    <col min="2" max="2" width="14.85546875" bestFit="1" customWidth="1"/>
    <col min="3" max="3" width="10.85546875" customWidth="1"/>
    <col min="5" max="5" width="10.5703125" customWidth="1"/>
    <col min="6" max="6" width="48.5703125" customWidth="1"/>
    <col min="11" max="11" width="12.28515625" bestFit="1" customWidth="1"/>
  </cols>
  <sheetData>
    <row r="1" spans="1:13" x14ac:dyDescent="0.25">
      <c r="A1" s="18" t="s">
        <v>110</v>
      </c>
    </row>
    <row r="2" spans="1:13" x14ac:dyDescent="0.25">
      <c r="A2" s="12" t="s">
        <v>135</v>
      </c>
    </row>
    <row r="4" spans="1:13" x14ac:dyDescent="0.25">
      <c r="A4" s="9" t="s">
        <v>125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x14ac:dyDescent="0.25">
      <c r="A5" s="4" t="s">
        <v>58</v>
      </c>
      <c r="B5" s="13">
        <v>5</v>
      </c>
      <c r="C5" t="s">
        <v>4</v>
      </c>
      <c r="M5" s="5"/>
    </row>
    <row r="6" spans="1:13" x14ac:dyDescent="0.25">
      <c r="A6" s="4" t="s">
        <v>59</v>
      </c>
      <c r="B6" s="13">
        <v>24</v>
      </c>
      <c r="C6" t="s">
        <v>3</v>
      </c>
      <c r="E6" t="s">
        <v>139</v>
      </c>
      <c r="M6" s="5"/>
    </row>
    <row r="7" spans="1:13" x14ac:dyDescent="0.25">
      <c r="A7" s="4" t="s">
        <v>60</v>
      </c>
      <c r="B7" s="13">
        <v>5</v>
      </c>
      <c r="C7" t="s">
        <v>3</v>
      </c>
      <c r="E7" t="s">
        <v>83</v>
      </c>
      <c r="M7" s="5"/>
    </row>
    <row r="8" spans="1:13" x14ac:dyDescent="0.25">
      <c r="A8" s="4" t="s">
        <v>130</v>
      </c>
      <c r="B8" s="13">
        <v>0.2</v>
      </c>
      <c r="C8" t="s">
        <v>4</v>
      </c>
      <c r="E8" t="s">
        <v>131</v>
      </c>
      <c r="M8" s="5"/>
    </row>
    <row r="9" spans="1:13" x14ac:dyDescent="0.25">
      <c r="A9" s="4" t="s">
        <v>17</v>
      </c>
      <c r="B9" s="13">
        <v>10</v>
      </c>
      <c r="C9" t="s">
        <v>3</v>
      </c>
      <c r="E9" t="s">
        <v>132</v>
      </c>
      <c r="M9" s="5"/>
    </row>
    <row r="10" spans="1:13" x14ac:dyDescent="0.25">
      <c r="A10" s="4" t="s">
        <v>81</v>
      </c>
      <c r="B10" s="13">
        <v>6</v>
      </c>
      <c r="C10" t="s">
        <v>3</v>
      </c>
      <c r="E10" t="s">
        <v>82</v>
      </c>
      <c r="M10" s="5"/>
    </row>
    <row r="11" spans="1:13" x14ac:dyDescent="0.25">
      <c r="A11" s="4" t="s">
        <v>9</v>
      </c>
      <c r="B11" s="13">
        <v>100</v>
      </c>
      <c r="C11" t="s">
        <v>14</v>
      </c>
      <c r="E11" t="s">
        <v>133</v>
      </c>
      <c r="M11" s="5"/>
    </row>
    <row r="12" spans="1:13" x14ac:dyDescent="0.25">
      <c r="A12" s="4" t="s">
        <v>10</v>
      </c>
      <c r="B12" s="13">
        <v>5</v>
      </c>
      <c r="C12" t="s">
        <v>15</v>
      </c>
      <c r="E12" t="s">
        <v>133</v>
      </c>
      <c r="M12" s="5"/>
    </row>
    <row r="13" spans="1:13" x14ac:dyDescent="0.25">
      <c r="A13" s="4"/>
      <c r="M13" s="5"/>
    </row>
    <row r="14" spans="1:13" x14ac:dyDescent="0.25">
      <c r="A14" s="4" t="s">
        <v>80</v>
      </c>
      <c r="B14">
        <f>((B5+B8)*1000/(PI()*(B6)^2/4))</f>
        <v>11.494523667747996</v>
      </c>
      <c r="C14" t="s">
        <v>3</v>
      </c>
      <c r="M14" s="5"/>
    </row>
    <row r="15" spans="1:13" x14ac:dyDescent="0.25">
      <c r="A15" s="4" t="s">
        <v>22</v>
      </c>
      <c r="B15">
        <f>B14-B7</f>
        <v>6.4945236677479965</v>
      </c>
      <c r="C15" t="s">
        <v>3</v>
      </c>
      <c r="M15" s="5"/>
    </row>
    <row r="16" spans="1:13" x14ac:dyDescent="0.25">
      <c r="A16" s="4" t="s">
        <v>7</v>
      </c>
      <c r="B16">
        <f>B9*B15</f>
        <v>64.945236677479969</v>
      </c>
      <c r="C16" t="s">
        <v>8</v>
      </c>
      <c r="M16" s="5"/>
    </row>
    <row r="17" spans="1:13" x14ac:dyDescent="0.25">
      <c r="A17" s="4" t="s">
        <v>11</v>
      </c>
      <c r="B17">
        <f>B12/(B11/1000)</f>
        <v>50</v>
      </c>
      <c r="C17" t="s">
        <v>16</v>
      </c>
      <c r="E17" t="s">
        <v>120</v>
      </c>
      <c r="M17" s="5"/>
    </row>
    <row r="18" spans="1:13" x14ac:dyDescent="0.25">
      <c r="A18" s="6" t="s">
        <v>13</v>
      </c>
      <c r="B18" s="7">
        <f>B17*(B16*0.000001/(B10*0.001))</f>
        <v>0.54121030564566641</v>
      </c>
      <c r="C18" s="7" t="s">
        <v>18</v>
      </c>
      <c r="D18" s="7"/>
      <c r="E18" s="7" t="s">
        <v>119</v>
      </c>
      <c r="F18" s="7"/>
      <c r="G18" s="7"/>
      <c r="H18" s="7"/>
      <c r="I18" s="7"/>
      <c r="J18" s="7"/>
      <c r="K18" s="7"/>
      <c r="L18" s="7"/>
      <c r="M18" s="8"/>
    </row>
    <row r="20" spans="1:13" x14ac:dyDescent="0.25">
      <c r="A20" s="9" t="s">
        <v>126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</row>
    <row r="21" spans="1:13" x14ac:dyDescent="0.25">
      <c r="A21" s="4" t="s">
        <v>127</v>
      </c>
      <c r="B21" s="13">
        <v>10</v>
      </c>
      <c r="C21" t="s">
        <v>4</v>
      </c>
      <c r="M21" s="5"/>
    </row>
    <row r="22" spans="1:13" x14ac:dyDescent="0.25">
      <c r="A22" s="4" t="s">
        <v>84</v>
      </c>
      <c r="B22" s="13">
        <v>24</v>
      </c>
      <c r="C22" t="s">
        <v>3</v>
      </c>
      <c r="E22" t="s">
        <v>139</v>
      </c>
      <c r="M22" s="5"/>
    </row>
    <row r="23" spans="1:13" x14ac:dyDescent="0.25">
      <c r="A23" s="4" t="s">
        <v>85</v>
      </c>
      <c r="B23" s="13">
        <v>5</v>
      </c>
      <c r="C23" t="s">
        <v>3</v>
      </c>
      <c r="E23" t="s">
        <v>83</v>
      </c>
      <c r="M23" s="5"/>
    </row>
    <row r="24" spans="1:13" x14ac:dyDescent="0.25">
      <c r="A24" s="4" t="s">
        <v>130</v>
      </c>
      <c r="B24" s="13">
        <v>0.2</v>
      </c>
      <c r="C24" t="s">
        <v>4</v>
      </c>
      <c r="E24" t="s">
        <v>131</v>
      </c>
      <c r="M24" s="5"/>
    </row>
    <row r="25" spans="1:13" x14ac:dyDescent="0.25">
      <c r="A25" s="4" t="s">
        <v>86</v>
      </c>
      <c r="B25" s="13">
        <v>10</v>
      </c>
      <c r="C25" t="s">
        <v>3</v>
      </c>
      <c r="E25" t="s">
        <v>132</v>
      </c>
      <c r="M25" s="5"/>
    </row>
    <row r="26" spans="1:13" x14ac:dyDescent="0.25">
      <c r="A26" s="4" t="s">
        <v>87</v>
      </c>
      <c r="B26" s="13">
        <v>6</v>
      </c>
      <c r="C26" t="s">
        <v>3</v>
      </c>
      <c r="E26" t="s">
        <v>82</v>
      </c>
      <c r="M26" s="5"/>
    </row>
    <row r="27" spans="1:13" x14ac:dyDescent="0.25">
      <c r="A27" s="4"/>
      <c r="M27" s="5"/>
    </row>
    <row r="28" spans="1:13" x14ac:dyDescent="0.25">
      <c r="A28" s="4" t="s">
        <v>19</v>
      </c>
      <c r="B28">
        <f>((B21+B24)*1000/(PI()*(B22)^2/4))-B23</f>
        <v>17.546950271351839</v>
      </c>
      <c r="C28" t="s">
        <v>3</v>
      </c>
      <c r="M28" s="5"/>
    </row>
    <row r="29" spans="1:13" x14ac:dyDescent="0.25">
      <c r="A29" s="4" t="s">
        <v>21</v>
      </c>
      <c r="B29">
        <f>B28*B25</f>
        <v>175.46950271351841</v>
      </c>
      <c r="C29" t="s">
        <v>8</v>
      </c>
      <c r="M29" s="5"/>
    </row>
    <row r="30" spans="1:13" x14ac:dyDescent="0.25">
      <c r="A30" s="6" t="s">
        <v>20</v>
      </c>
      <c r="B30" s="7">
        <f>B18*(B26*0.001)/(B29*0.000001)</f>
        <v>18.506132311639732</v>
      </c>
      <c r="C30" s="7" t="s">
        <v>16</v>
      </c>
      <c r="D30" s="7"/>
      <c r="E30" s="7" t="s">
        <v>121</v>
      </c>
      <c r="F30" s="7"/>
      <c r="G30" s="7"/>
      <c r="H30" s="7"/>
      <c r="I30" s="7"/>
      <c r="J30" s="7"/>
      <c r="K30" s="7"/>
      <c r="L30" s="7"/>
      <c r="M30" s="8"/>
    </row>
    <row r="32" spans="1:13" x14ac:dyDescent="0.25">
      <c r="A32" s="9" t="s">
        <v>128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</row>
    <row r="33" spans="1:13" x14ac:dyDescent="0.25">
      <c r="A33" s="4" t="s">
        <v>90</v>
      </c>
      <c r="B33" s="21">
        <f>B11*B30*0.001</f>
        <v>1.8506132311639731</v>
      </c>
      <c r="C33" t="s">
        <v>23</v>
      </c>
      <c r="E33" t="s">
        <v>122</v>
      </c>
      <c r="M33" s="5"/>
    </row>
    <row r="34" spans="1:13" x14ac:dyDescent="0.25">
      <c r="A34" s="4" t="s">
        <v>99</v>
      </c>
      <c r="B34" s="22">
        <f>B21/B5</f>
        <v>2</v>
      </c>
      <c r="C34" t="s">
        <v>118</v>
      </c>
      <c r="E34" t="s">
        <v>124</v>
      </c>
      <c r="M34" s="5"/>
    </row>
    <row r="35" spans="1:13" x14ac:dyDescent="0.25">
      <c r="A35" s="4"/>
      <c r="M35" s="5"/>
    </row>
    <row r="36" spans="1:13" x14ac:dyDescent="0.25">
      <c r="A36" s="4" t="s">
        <v>91</v>
      </c>
      <c r="B36" s="14">
        <f>(B12/B30)*1000</f>
        <v>270.18071176629218</v>
      </c>
      <c r="C36" t="s">
        <v>14</v>
      </c>
      <c r="E36" t="s">
        <v>123</v>
      </c>
      <c r="M36" s="5"/>
    </row>
    <row r="37" spans="1:13" x14ac:dyDescent="0.25">
      <c r="A37" s="4" t="s">
        <v>100</v>
      </c>
      <c r="B37" s="14">
        <f>(B21/B36)/(B5/B11)</f>
        <v>0.74024529246558912</v>
      </c>
      <c r="C37" t="s">
        <v>118</v>
      </c>
      <c r="E37" t="s">
        <v>129</v>
      </c>
      <c r="M37" s="5"/>
    </row>
    <row r="38" spans="1:13" x14ac:dyDescent="0.25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8"/>
    </row>
  </sheetData>
  <hyperlinks>
    <hyperlink ref="A2" r:id="rId1" xr:uid="{147BB430-B84A-4ED9-ACC4-904B80407D3A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5FF21-F212-4A3C-9171-CD54961BCF0A}">
  <sheetPr codeName="Sheet5"/>
  <dimension ref="A1:C10"/>
  <sheetViews>
    <sheetView tabSelected="1" zoomScale="70" zoomScaleNormal="70" workbookViewId="0">
      <selection activeCell="A2" sqref="A2"/>
    </sheetView>
  </sheetViews>
  <sheetFormatPr defaultRowHeight="15" x14ac:dyDescent="0.25"/>
  <cols>
    <col min="1" max="1" width="58.140625" customWidth="1"/>
    <col min="2" max="2" width="14.85546875" bestFit="1" customWidth="1"/>
    <col min="3" max="3" width="10.85546875" customWidth="1"/>
    <col min="5" max="5" width="10.5703125" customWidth="1"/>
    <col min="6" max="6" width="48.5703125" customWidth="1"/>
    <col min="11" max="11" width="12.28515625" bestFit="1" customWidth="1"/>
  </cols>
  <sheetData>
    <row r="1" spans="1:3" x14ac:dyDescent="0.25">
      <c r="A1" s="18" t="s">
        <v>111</v>
      </c>
    </row>
    <row r="2" spans="1:3" x14ac:dyDescent="0.25">
      <c r="A2" s="12" t="s">
        <v>136</v>
      </c>
    </row>
    <row r="3" spans="1:3" x14ac:dyDescent="0.25">
      <c r="A3" s="1" t="s">
        <v>97</v>
      </c>
      <c r="B3" s="13">
        <v>1000</v>
      </c>
      <c r="C3" s="3" t="s">
        <v>38</v>
      </c>
    </row>
    <row r="4" spans="1:3" x14ac:dyDescent="0.25">
      <c r="A4" s="4" t="s">
        <v>10</v>
      </c>
      <c r="B4" s="13">
        <v>5</v>
      </c>
      <c r="C4" s="5" t="s">
        <v>15</v>
      </c>
    </row>
    <row r="5" spans="1:3" x14ac:dyDescent="0.25">
      <c r="A5" s="4" t="s">
        <v>112</v>
      </c>
      <c r="B5" s="20" t="s">
        <v>113</v>
      </c>
      <c r="C5" s="5"/>
    </row>
    <row r="6" spans="1:3" x14ac:dyDescent="0.25">
      <c r="A6" s="4" t="s">
        <v>95</v>
      </c>
      <c r="B6" s="13">
        <v>1.5</v>
      </c>
      <c r="C6" s="5" t="str">
        <f>_xlfn.CONCAT(B5," / kWh")</f>
        <v>£ / kWh</v>
      </c>
    </row>
    <row r="7" spans="1:3" x14ac:dyDescent="0.25">
      <c r="A7" s="4" t="s">
        <v>96</v>
      </c>
      <c r="B7">
        <f>96485*B4*B3/1000</f>
        <v>482425</v>
      </c>
      <c r="C7" s="5" t="s">
        <v>92</v>
      </c>
    </row>
    <row r="8" spans="1:3" x14ac:dyDescent="0.25">
      <c r="A8" s="4" t="s">
        <v>93</v>
      </c>
      <c r="B8">
        <f>B6/3600000</f>
        <v>4.1666666666666667E-7</v>
      </c>
      <c r="C8" s="5" t="str">
        <f>B5</f>
        <v>£</v>
      </c>
    </row>
    <row r="9" spans="1:3" x14ac:dyDescent="0.25">
      <c r="A9" s="4" t="s">
        <v>94</v>
      </c>
      <c r="B9" s="14">
        <f>B8*B7</f>
        <v>0.20101041666666666</v>
      </c>
      <c r="C9" s="5" t="str">
        <f>B5</f>
        <v>£</v>
      </c>
    </row>
    <row r="10" spans="1:3" x14ac:dyDescent="0.25">
      <c r="A10" s="6" t="s">
        <v>98</v>
      </c>
      <c r="B10" s="14">
        <f>B9*B3/1000</f>
        <v>0.20101041666666666</v>
      </c>
      <c r="C10" s="8" t="str">
        <f>B5</f>
        <v>£</v>
      </c>
    </row>
  </sheetData>
  <hyperlinks>
    <hyperlink ref="A2" r:id="rId1" xr:uid="{02760D2C-DE97-478C-8BB1-8FD3023FB76F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9D5A-4903-4FF0-B291-5D1E4D62E607}">
  <sheetPr codeName="Sheet7"/>
  <dimension ref="A1:E11"/>
  <sheetViews>
    <sheetView zoomScale="70" zoomScaleNormal="70" workbookViewId="0">
      <selection activeCell="F14" sqref="F14:F15"/>
    </sheetView>
  </sheetViews>
  <sheetFormatPr defaultRowHeight="15" x14ac:dyDescent="0.25"/>
  <cols>
    <col min="1" max="1" width="58.140625" customWidth="1"/>
    <col min="2" max="2" width="14.85546875" bestFit="1" customWidth="1"/>
    <col min="3" max="3" width="10.85546875" customWidth="1"/>
    <col min="5" max="5" width="10.5703125" customWidth="1"/>
    <col min="6" max="6" width="48.5703125" customWidth="1"/>
    <col min="11" max="11" width="12.28515625" bestFit="1" customWidth="1"/>
  </cols>
  <sheetData>
    <row r="1" spans="1:5" x14ac:dyDescent="0.25">
      <c r="A1" t="s">
        <v>137</v>
      </c>
    </row>
    <row r="2" spans="1:5" x14ac:dyDescent="0.25">
      <c r="A2" s="12" t="s">
        <v>138</v>
      </c>
    </row>
    <row r="3" spans="1:5" x14ac:dyDescent="0.25">
      <c r="A3" s="1" t="s">
        <v>10</v>
      </c>
      <c r="B3" s="13">
        <v>5</v>
      </c>
      <c r="C3" s="2" t="s">
        <v>15</v>
      </c>
      <c r="D3" s="2"/>
      <c r="E3" s="3"/>
    </row>
    <row r="4" spans="1:5" x14ac:dyDescent="0.25">
      <c r="A4" s="4" t="s">
        <v>9</v>
      </c>
      <c r="B4" s="13">
        <v>20</v>
      </c>
      <c r="C4" t="s">
        <v>14</v>
      </c>
      <c r="E4" s="5"/>
    </row>
    <row r="5" spans="1:5" x14ac:dyDescent="0.25">
      <c r="A5" s="4" t="s">
        <v>32</v>
      </c>
      <c r="B5" s="13">
        <v>2</v>
      </c>
      <c r="E5" s="5"/>
    </row>
    <row r="6" spans="1:5" x14ac:dyDescent="0.25">
      <c r="A6" s="4"/>
      <c r="E6" s="5"/>
    </row>
    <row r="7" spans="1:5" x14ac:dyDescent="0.25">
      <c r="A7" s="4"/>
      <c r="B7" t="s">
        <v>31</v>
      </c>
      <c r="D7" t="s">
        <v>37</v>
      </c>
      <c r="E7" s="5"/>
    </row>
    <row r="8" spans="1:5" x14ac:dyDescent="0.25">
      <c r="A8" s="4" t="s">
        <v>33</v>
      </c>
      <c r="B8">
        <f>(B5/(B5+1))*B3</f>
        <v>3.333333333333333</v>
      </c>
      <c r="C8" t="s">
        <v>15</v>
      </c>
      <c r="D8">
        <f>B3</f>
        <v>5</v>
      </c>
      <c r="E8" s="5" t="s">
        <v>15</v>
      </c>
    </row>
    <row r="9" spans="1:5" x14ac:dyDescent="0.25">
      <c r="A9" s="4" t="s">
        <v>34</v>
      </c>
      <c r="B9">
        <f>B3-B8</f>
        <v>1.666666666666667</v>
      </c>
      <c r="C9" t="s">
        <v>15</v>
      </c>
      <c r="D9">
        <f>B4</f>
        <v>20</v>
      </c>
      <c r="E9" s="5" t="s">
        <v>15</v>
      </c>
    </row>
    <row r="10" spans="1:5" x14ac:dyDescent="0.25">
      <c r="A10" s="4" t="s">
        <v>35</v>
      </c>
      <c r="B10">
        <f>B4</f>
        <v>20</v>
      </c>
      <c r="C10" t="s">
        <v>14</v>
      </c>
      <c r="D10">
        <f>1/(B5+1)*B4</f>
        <v>6.6666666666666661</v>
      </c>
      <c r="E10" s="5" t="s">
        <v>14</v>
      </c>
    </row>
    <row r="11" spans="1:5" x14ac:dyDescent="0.25">
      <c r="A11" s="6" t="s">
        <v>36</v>
      </c>
      <c r="B11" s="7">
        <f>B4</f>
        <v>20</v>
      </c>
      <c r="C11" s="7" t="s">
        <v>14</v>
      </c>
      <c r="D11" s="7">
        <f>B5/(B5+1)*B4</f>
        <v>13.333333333333332</v>
      </c>
      <c r="E11" s="8" t="s">
        <v>14</v>
      </c>
    </row>
  </sheetData>
  <hyperlinks>
    <hyperlink ref="A2" r:id="rId1" xr:uid="{165CCA15-BC98-48DB-9B45-E33C220F56E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time moles</vt:lpstr>
      <vt:lpstr>Rxn time est</vt:lpstr>
      <vt:lpstr>Efficiency Calcs</vt:lpstr>
      <vt:lpstr>Reporting</vt:lpstr>
      <vt:lpstr>Scaling</vt:lpstr>
      <vt:lpstr>Cost Electons</vt:lpstr>
      <vt:lpstr>Parallel V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</dc:creator>
  <cp:lastModifiedBy>Nik Kapur</cp:lastModifiedBy>
  <dcterms:created xsi:type="dcterms:W3CDTF">2015-06-05T18:17:20Z</dcterms:created>
  <dcterms:modified xsi:type="dcterms:W3CDTF">2024-02-05T13:55:53Z</dcterms:modified>
</cp:coreProperties>
</file>